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COMERCIAL\Desktop\ADMINISTRATIVO\INFORME DE RECAUDACION\"/>
    </mc:Choice>
  </mc:AlternateContent>
  <xr:revisionPtr revIDLastSave="0" documentId="13_ncr:1_{F1F7D01E-5F6A-4D43-B782-48D06E58F1F4}" xr6:coauthVersionLast="47" xr6:coauthVersionMax="47" xr10:uidLastSave="{00000000-0000-0000-0000-000000000000}"/>
  <bookViews>
    <workbookView xWindow="-120" yWindow="-120" windowWidth="29040" windowHeight="15840" xr2:uid="{7D94664B-7E6E-4782-B410-BBF08CBFFAE8}"/>
  </bookViews>
  <sheets>
    <sheet name="2022" sheetId="8" r:id="rId1"/>
    <sheet name="2020 VS 202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8" l="1"/>
  <c r="C17" i="3"/>
  <c r="T21" i="8"/>
  <c r="T20" i="8"/>
  <c r="S27" i="8"/>
  <c r="S26" i="8"/>
  <c r="S25" i="8"/>
  <c r="T25" i="8" s="1"/>
  <c r="S24" i="8"/>
  <c r="S22" i="8"/>
  <c r="S21" i="8"/>
  <c r="S20" i="8"/>
  <c r="R25" i="8"/>
  <c r="R27" i="8" s="1"/>
  <c r="R26" i="8"/>
  <c r="R24" i="8"/>
  <c r="R22" i="8"/>
  <c r="R21" i="8"/>
  <c r="R20" i="8"/>
  <c r="T26" i="8"/>
  <c r="T22" i="8"/>
  <c r="T23" i="8"/>
  <c r="Q26" i="8"/>
  <c r="Q25" i="8"/>
  <c r="Q24" i="8"/>
  <c r="Q22" i="8"/>
  <c r="Q21" i="8"/>
  <c r="Q20" i="8"/>
  <c r="F20" i="8"/>
  <c r="F26" i="8"/>
  <c r="F25" i="8"/>
  <c r="F24" i="8"/>
  <c r="F23" i="8"/>
  <c r="F22" i="8"/>
  <c r="F21" i="8"/>
  <c r="E21" i="8"/>
  <c r="E20" i="8"/>
  <c r="C26" i="8"/>
  <c r="C25" i="8"/>
  <c r="C24" i="8"/>
  <c r="C22" i="8"/>
  <c r="C21" i="8"/>
  <c r="C20" i="8"/>
  <c r="T24" i="8" l="1"/>
  <c r="Q27" i="8"/>
  <c r="F27" i="8"/>
  <c r="C27" i="8"/>
  <c r="E27" i="8"/>
  <c r="G27" i="8"/>
  <c r="H27" i="8"/>
  <c r="I27" i="8"/>
  <c r="J27" i="8"/>
  <c r="K27" i="8"/>
  <c r="L27" i="8"/>
  <c r="M27" i="8"/>
  <c r="N27" i="8"/>
  <c r="O27" i="8"/>
  <c r="P27" i="8"/>
  <c r="D26" i="8"/>
  <c r="D25" i="8"/>
  <c r="D24" i="8"/>
  <c r="D23" i="8"/>
  <c r="D22" i="8"/>
  <c r="D21" i="8"/>
  <c r="D20" i="8"/>
  <c r="D27" i="8" l="1"/>
  <c r="E11" i="3"/>
  <c r="D17" i="3"/>
  <c r="E15" i="3" l="1"/>
  <c r="E12" i="3"/>
  <c r="E16" i="3"/>
  <c r="E14" i="3"/>
  <c r="E13" i="3"/>
  <c r="E17" i="3" l="1"/>
</calcChain>
</file>

<file path=xl/sharedStrings.xml><?xml version="1.0" encoding="utf-8"?>
<sst xmlns="http://schemas.openxmlformats.org/spreadsheetml/2006/main" count="38" uniqueCount="24">
  <si>
    <t>BONAO</t>
  </si>
  <si>
    <t>PIEDRA BLANCA</t>
  </si>
  <si>
    <t>MAIMON</t>
  </si>
  <si>
    <t>SONADOR</t>
  </si>
  <si>
    <t>JIMA</t>
  </si>
  <si>
    <t>FULA</t>
  </si>
  <si>
    <t>OFICINA</t>
  </si>
  <si>
    <t>FEBRERO</t>
  </si>
  <si>
    <t>MARZO</t>
  </si>
  <si>
    <t>ABRIL</t>
  </si>
  <si>
    <t>MAYO</t>
  </si>
  <si>
    <t>JUNIO</t>
  </si>
  <si>
    <t>JULIO</t>
  </si>
  <si>
    <t>TOTAL</t>
  </si>
  <si>
    <t>AGOSTO</t>
  </si>
  <si>
    <t>SEPTIEMBRE</t>
  </si>
  <si>
    <t>OCTUBRE</t>
  </si>
  <si>
    <t>NOVIEMBRE</t>
  </si>
  <si>
    <t>ENERO</t>
  </si>
  <si>
    <t>DICIEMBRE</t>
  </si>
  <si>
    <t>CREC %</t>
  </si>
  <si>
    <t>JUMA</t>
  </si>
  <si>
    <t>RECAUDACIONES MONSEÑOR NOUEL AÑO 2020 VS 2021</t>
  </si>
  <si>
    <t>RECAUDACIONES MONSEÑOR NOUEL ENERO-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</si>
</sst>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1" xfId="1" applyFont="1" applyBorder="1"/>
    <xf numFmtId="44" fontId="0" fillId="0" borderId="5" xfId="1" applyFont="1" applyBorder="1"/>
    <xf numFmtId="44" fontId="0" fillId="0" borderId="10" xfId="1" applyFont="1" applyBorder="1"/>
    <xf numFmtId="0" fontId="3" fillId="2" borderId="3" xfId="0" applyFont="1" applyFill="1" applyBorder="1"/>
    <xf numFmtId="0" fontId="3" fillId="2" borderId="13" xfId="0" applyFont="1" applyFill="1" applyBorder="1"/>
    <xf numFmtId="0" fontId="3" fillId="0" borderId="14" xfId="0" applyFont="1" applyBorder="1"/>
    <xf numFmtId="0" fontId="3" fillId="2" borderId="16" xfId="0" applyFont="1" applyFill="1" applyBorder="1"/>
    <xf numFmtId="0" fontId="2" fillId="0" borderId="7" xfId="0" applyFont="1" applyBorder="1"/>
    <xf numFmtId="9" fontId="0" fillId="0" borderId="8" xfId="2" applyFont="1" applyBorder="1"/>
    <xf numFmtId="9" fontId="0" fillId="0" borderId="11" xfId="2" applyFont="1" applyBorder="1"/>
    <xf numFmtId="44" fontId="3" fillId="0" borderId="15" xfId="1" applyFont="1" applyBorder="1"/>
    <xf numFmtId="0" fontId="2" fillId="0" borderId="4" xfId="0" applyFont="1" applyBorder="1"/>
    <xf numFmtId="9" fontId="0" fillId="0" borderId="6" xfId="2" applyFont="1" applyBorder="1"/>
    <xf numFmtId="0" fontId="2" fillId="0" borderId="9" xfId="0" applyFont="1" applyBorder="1"/>
    <xf numFmtId="9" fontId="2" fillId="0" borderId="19" xfId="2" applyFont="1" applyBorder="1"/>
    <xf numFmtId="0" fontId="4" fillId="0" borderId="0" xfId="0" applyFont="1"/>
    <xf numFmtId="0" fontId="3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/>
    <xf numFmtId="44" fontId="0" fillId="0" borderId="4" xfId="1" applyFont="1" applyBorder="1"/>
    <xf numFmtId="44" fontId="0" fillId="0" borderId="7" xfId="1" applyFont="1" applyBorder="1"/>
    <xf numFmtId="44" fontId="0" fillId="0" borderId="9" xfId="1" applyFont="1" applyBorder="1"/>
    <xf numFmtId="44" fontId="0" fillId="0" borderId="0" xfId="0" applyNumberFormat="1"/>
    <xf numFmtId="44" fontId="0" fillId="0" borderId="0" xfId="1" applyFont="1"/>
    <xf numFmtId="0" fontId="3" fillId="2" borderId="12" xfId="0" applyFont="1" applyFill="1" applyBorder="1"/>
    <xf numFmtId="0" fontId="2" fillId="0" borderId="25" xfId="0" applyFont="1" applyBorder="1"/>
    <xf numFmtId="0" fontId="2" fillId="0" borderId="20" xfId="0" applyFont="1" applyBorder="1"/>
    <xf numFmtId="0" fontId="2" fillId="0" borderId="21" xfId="0" applyFont="1" applyBorder="1"/>
    <xf numFmtId="0" fontId="3" fillId="2" borderId="3" xfId="0" applyFont="1" applyFill="1" applyBorder="1" applyAlignment="1">
      <alignment horizontal="center"/>
    </xf>
    <xf numFmtId="44" fontId="2" fillId="4" borderId="14" xfId="1" applyFont="1" applyFill="1" applyBorder="1"/>
    <xf numFmtId="44" fontId="2" fillId="4" borderId="23" xfId="1" applyFont="1" applyFill="1" applyBorder="1"/>
    <xf numFmtId="0" fontId="3" fillId="2" borderId="22" xfId="0" applyFont="1" applyFill="1" applyBorder="1"/>
    <xf numFmtId="44" fontId="2" fillId="0" borderId="6" xfId="0" applyNumberFormat="1" applyFont="1" applyBorder="1"/>
    <xf numFmtId="44" fontId="2" fillId="0" borderId="8" xfId="0" applyNumberFormat="1" applyFont="1" applyBorder="1"/>
    <xf numFmtId="44" fontId="2" fillId="0" borderId="11" xfId="0" applyNumberFormat="1" applyFont="1" applyBorder="1"/>
    <xf numFmtId="9" fontId="0" fillId="0" borderId="0" xfId="2" applyFont="1"/>
    <xf numFmtId="9" fontId="0" fillId="0" borderId="0" xfId="0" applyNumberFormat="1"/>
    <xf numFmtId="44" fontId="3" fillId="5" borderId="15" xfId="0" applyNumberFormat="1" applyFont="1" applyFill="1" applyBorder="1"/>
    <xf numFmtId="0" fontId="3" fillId="2" borderId="13" xfId="0" applyFont="1" applyFill="1" applyBorder="1" applyAlignment="1">
      <alignment horizontal="center"/>
    </xf>
    <xf numFmtId="44" fontId="0" fillId="0" borderId="26" xfId="1" applyFont="1" applyBorder="1"/>
    <xf numFmtId="44" fontId="0" fillId="0" borderId="27" xfId="1" applyFont="1" applyBorder="1"/>
    <xf numFmtId="44" fontId="0" fillId="0" borderId="28" xfId="1" applyFont="1" applyBorder="1"/>
    <xf numFmtId="44" fontId="3" fillId="4" borderId="24" xfId="1" applyFont="1" applyFill="1" applyBorder="1"/>
    <xf numFmtId="0" fontId="3" fillId="4" borderId="14" xfId="0" applyFont="1" applyFill="1" applyBorder="1"/>
    <xf numFmtId="0" fontId="4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RECAUDACIONES 2022</a:t>
            </a:r>
          </a:p>
        </c:rich>
      </c:tx>
      <c:layout>
        <c:manualLayout>
          <c:xMode val="edge"/>
          <c:yMode val="edge"/>
          <c:x val="0.35968044619422573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180915346269675E-2"/>
          <c:y val="0.14283649503161699"/>
          <c:w val="0.9508990737337194"/>
          <c:h val="0.70875018671446555"/>
        </c:manualLayout>
      </c:layout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'2022'!$C$20:$C$26</c15:sqref>
                  </c15:fullRef>
                </c:ext>
              </c:extLst>
              <c:f>('2022'!$C$20,'2022'!$C$22:$C$26)</c:f>
              <c:numCache>
                <c:formatCode>_("$"* #,##0.00_);_("$"* \(#,##0.00\);_("$"* "-"??_);_(@_)</c:formatCode>
                <c:ptCount val="6"/>
                <c:pt idx="0">
                  <c:v>1713607.16</c:v>
                </c:pt>
                <c:pt idx="1">
                  <c:v>18250</c:v>
                </c:pt>
                <c:pt idx="2">
                  <c:v>5036</c:v>
                </c:pt>
                <c:pt idx="3">
                  <c:v>52740</c:v>
                </c:pt>
                <c:pt idx="4">
                  <c:v>35710</c:v>
                </c:pt>
                <c:pt idx="5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8-4931-99B1-7D099154B681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'2022'!$D$20:$D$26</c15:sqref>
                  </c15:fullRef>
                </c:ext>
              </c:extLst>
              <c:f>('2022'!$D$20,'2022'!$D$22:$D$26)</c:f>
              <c:numCache>
                <c:formatCode>_("$"* #,##0.00_);_("$"* \(#,##0.00\);_("$"* "-"??_);_(@_)</c:formatCode>
                <c:ptCount val="6"/>
                <c:pt idx="0">
                  <c:v>2028335.1500000001</c:v>
                </c:pt>
                <c:pt idx="1">
                  <c:v>30664</c:v>
                </c:pt>
                <c:pt idx="2">
                  <c:v>18022</c:v>
                </c:pt>
                <c:pt idx="3">
                  <c:v>21782</c:v>
                </c:pt>
                <c:pt idx="4">
                  <c:v>31896</c:v>
                </c:pt>
                <c:pt idx="5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8-4931-99B1-7D099154B681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'2022'!$E$20:$E$26</c15:sqref>
                  </c15:fullRef>
                </c:ext>
              </c:extLst>
              <c:f>('2022'!$E$20,'2022'!$E$22:$E$26)</c:f>
              <c:numCache>
                <c:formatCode>_("$"* #,##0.00_);_("$"* \(#,##0.00\);_("$"* "-"??_);_(@_)</c:formatCode>
                <c:ptCount val="6"/>
                <c:pt idx="0">
                  <c:v>2925058.4</c:v>
                </c:pt>
                <c:pt idx="1">
                  <c:v>29036</c:v>
                </c:pt>
                <c:pt idx="2">
                  <c:v>5168</c:v>
                </c:pt>
                <c:pt idx="3">
                  <c:v>16194</c:v>
                </c:pt>
                <c:pt idx="4">
                  <c:v>88430</c:v>
                </c:pt>
                <c:pt idx="5">
                  <c:v>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8-4931-99B1-7D099154B681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'2022'!$F$20:$F$26</c15:sqref>
                  </c15:fullRef>
                </c:ext>
              </c:extLst>
              <c:f>('2022'!$F$20,'2022'!$F$22:$F$26)</c:f>
              <c:numCache>
                <c:formatCode>_("$"* #,##0.00_);_("$"* \(#,##0.00\);_("$"* "-"??_);_(@_)</c:formatCode>
                <c:ptCount val="6"/>
                <c:pt idx="0">
                  <c:v>2378908.9699999997</c:v>
                </c:pt>
                <c:pt idx="1">
                  <c:v>37558</c:v>
                </c:pt>
                <c:pt idx="2">
                  <c:v>24148</c:v>
                </c:pt>
                <c:pt idx="3">
                  <c:v>35210</c:v>
                </c:pt>
                <c:pt idx="4">
                  <c:v>19370</c:v>
                </c:pt>
                <c:pt idx="5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08-4931-99B1-7D099154B68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'2022'!$G$20:$G$26</c15:sqref>
                  </c15:fullRef>
                </c:ext>
              </c:extLst>
              <c:f>('2022'!$G$20,'2022'!$G$22:$G$26)</c:f>
            </c:numRef>
          </c:val>
          <c:extLst>
            <c:ext xmlns:c16="http://schemas.microsoft.com/office/drawing/2014/chart" uri="{C3380CC4-5D6E-409C-BE32-E72D297353CC}">
              <c16:uniqueId val="{00000004-1F08-4931-99B1-7D099154B681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'2022'!$H$20:$H$26</c15:sqref>
                  </c15:fullRef>
                </c:ext>
              </c:extLst>
              <c:f>('2022'!$H$20,'2022'!$H$22:$H$26)</c:f>
            </c:numRef>
          </c:val>
          <c:extLst>
            <c:ext xmlns:c16="http://schemas.microsoft.com/office/drawing/2014/chart" uri="{C3380CC4-5D6E-409C-BE32-E72D297353CC}">
              <c16:uniqueId val="{00000005-1F08-4931-99B1-7D099154B681}"/>
            </c:ext>
          </c:extLst>
        </c:ser>
        <c:ser>
          <c:idx val="6"/>
          <c:order val="6"/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'2022'!$I$20:$I$26</c15:sqref>
                  </c15:fullRef>
                </c:ext>
              </c:extLst>
              <c:f>('2022'!$I$20,'2022'!$I$22:$I$26)</c:f>
            </c:numRef>
          </c:val>
          <c:extLst>
            <c:ext xmlns:c16="http://schemas.microsoft.com/office/drawing/2014/chart" uri="{C3380CC4-5D6E-409C-BE32-E72D297353CC}">
              <c16:uniqueId val="{00000006-1F08-4931-99B1-7D099154B681}"/>
            </c:ext>
          </c:extLst>
        </c:ser>
        <c:ser>
          <c:idx val="7"/>
          <c:order val="7"/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'2022'!$J$20:$J$26</c15:sqref>
                  </c15:fullRef>
                </c:ext>
              </c:extLst>
              <c:f>('2022'!$J$20,'2022'!$J$22:$J$26)</c:f>
            </c:numRef>
          </c:val>
          <c:extLst>
            <c:ext xmlns:c16="http://schemas.microsoft.com/office/drawing/2014/chart" uri="{C3380CC4-5D6E-409C-BE32-E72D297353CC}">
              <c16:uniqueId val="{00000009-1F08-4931-99B1-7D099154B681}"/>
            </c:ext>
          </c:extLst>
        </c:ser>
        <c:ser>
          <c:idx val="8"/>
          <c:order val="8"/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'2022'!$K$20:$K$26</c15:sqref>
                  </c15:fullRef>
                </c:ext>
              </c:extLst>
              <c:f>('2022'!$K$20,'2022'!$K$22:$K$26)</c:f>
            </c:numRef>
          </c:val>
          <c:extLst>
            <c:ext xmlns:c16="http://schemas.microsoft.com/office/drawing/2014/chart" uri="{C3380CC4-5D6E-409C-BE32-E72D297353CC}">
              <c16:uniqueId val="{0000000A-1F08-4931-99B1-7D099154B681}"/>
            </c:ext>
          </c:extLst>
        </c:ser>
        <c:ser>
          <c:idx val="9"/>
          <c:order val="9"/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'2022'!$L$20:$L$26</c15:sqref>
                  </c15:fullRef>
                </c:ext>
              </c:extLst>
              <c:f>('2022'!$L$20,'2022'!$L$22:$L$26)</c:f>
            </c:numRef>
          </c:val>
          <c:extLst>
            <c:ext xmlns:c16="http://schemas.microsoft.com/office/drawing/2014/chart" uri="{C3380CC4-5D6E-409C-BE32-E72D297353CC}">
              <c16:uniqueId val="{0000000B-1F08-4931-99B1-7D099154B681}"/>
            </c:ext>
          </c:extLst>
        </c:ser>
        <c:ser>
          <c:idx val="10"/>
          <c:order val="10"/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'2022'!$M$20:$M$26</c15:sqref>
                  </c15:fullRef>
                </c:ext>
              </c:extLst>
              <c:f>('2022'!$M$20,'2022'!$M$22:$M$26)</c:f>
            </c:numRef>
          </c:val>
          <c:extLst>
            <c:ext xmlns:c16="http://schemas.microsoft.com/office/drawing/2014/chart" uri="{C3380CC4-5D6E-409C-BE32-E72D297353CC}">
              <c16:uniqueId val="{0000000C-1F08-4931-99B1-7D099154B681}"/>
            </c:ext>
          </c:extLst>
        </c:ser>
        <c:ser>
          <c:idx val="11"/>
          <c:order val="11"/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'2022'!$N$20:$N$26</c15:sqref>
                  </c15:fullRef>
                </c:ext>
              </c:extLst>
              <c:f>('2022'!$N$20,'2022'!$N$22:$N$26)</c:f>
            </c:numRef>
          </c:val>
          <c:extLst>
            <c:ext xmlns:c16="http://schemas.microsoft.com/office/drawing/2014/chart" uri="{C3380CC4-5D6E-409C-BE32-E72D297353CC}">
              <c16:uniqueId val="{0000000D-1F08-4931-99B1-7D099154B681}"/>
            </c:ext>
          </c:extLst>
        </c:ser>
        <c:ser>
          <c:idx val="12"/>
          <c:order val="12"/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'2022'!$O$20:$O$26</c15:sqref>
                  </c15:fullRef>
                </c:ext>
              </c:extLst>
              <c:f>('2022'!$O$20,'2022'!$O$22:$O$26)</c:f>
            </c:numRef>
          </c:val>
          <c:extLst>
            <c:ext xmlns:c16="http://schemas.microsoft.com/office/drawing/2014/chart" uri="{C3380CC4-5D6E-409C-BE32-E72D297353CC}">
              <c16:uniqueId val="{0000000E-1F08-4931-99B1-7D099154B681}"/>
            </c:ext>
          </c:extLst>
        </c:ser>
        <c:ser>
          <c:idx val="13"/>
          <c:order val="13"/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  <c:pt idx="6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'2022'!$P$20:$P$26</c15:sqref>
                  </c15:fullRef>
                </c:ext>
              </c:extLst>
              <c:f>('2022'!$P$20,'2022'!$P$22:$P$26)</c:f>
            </c:numRef>
          </c:val>
          <c:extLst>
            <c:ext xmlns:c16="http://schemas.microsoft.com/office/drawing/2014/chart" uri="{C3380CC4-5D6E-409C-BE32-E72D297353CC}">
              <c16:uniqueId val="{0000000F-1F08-4931-99B1-7D099154B681}"/>
            </c:ext>
          </c:extLst>
        </c:ser>
        <c:ser>
          <c:idx val="14"/>
          <c:order val="14"/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'2022'!$Q$20:$Q$26</c15:sqref>
                  </c15:fullRef>
                </c:ext>
              </c:extLst>
              <c:f>('2022'!$Q$20,'2022'!$Q$22:$Q$26)</c:f>
              <c:numCache>
                <c:formatCode>_("$"* #,##0.00_);_("$"* \(#,##0.00\);_("$"* "-"??_);_(@_)</c:formatCode>
                <c:ptCount val="6"/>
                <c:pt idx="0">
                  <c:v>2114780.04</c:v>
                </c:pt>
                <c:pt idx="1">
                  <c:v>22740</c:v>
                </c:pt>
                <c:pt idx="2">
                  <c:v>8368</c:v>
                </c:pt>
                <c:pt idx="3">
                  <c:v>29188</c:v>
                </c:pt>
                <c:pt idx="4">
                  <c:v>57696.05</c:v>
                </c:pt>
                <c:pt idx="5">
                  <c:v>3980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245-8E91-5BFBA5556784}"/>
            </c:ext>
          </c:extLst>
        </c:ser>
        <c:ser>
          <c:idx val="15"/>
          <c:order val="15"/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'2022'!$R$20:$R$26</c15:sqref>
                  </c15:fullRef>
                </c:ext>
              </c:extLst>
              <c:f>('2022'!$R$20,'2022'!$R$22:$R$26)</c:f>
              <c:numCache>
                <c:formatCode>_("$"* #,##0.00_);_("$"* \(#,##0.00\);_("$"* "-"??_);_(@_)</c:formatCode>
                <c:ptCount val="6"/>
                <c:pt idx="0">
                  <c:v>2381571.2600000002</c:v>
                </c:pt>
                <c:pt idx="1">
                  <c:v>22142</c:v>
                </c:pt>
                <c:pt idx="2">
                  <c:v>20504</c:v>
                </c:pt>
                <c:pt idx="3">
                  <c:v>22390</c:v>
                </c:pt>
                <c:pt idx="4">
                  <c:v>38498</c:v>
                </c:pt>
                <c:pt idx="5">
                  <c:v>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1-452A-9DD8-598E76EA469F}"/>
            </c:ext>
          </c:extLst>
        </c:ser>
        <c:ser>
          <c:idx val="16"/>
          <c:order val="16"/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'2022'!$B$20:$B$26</c15:sqref>
                  </c15:fullRef>
                </c:ext>
              </c:extLst>
              <c:f>('2022'!$B$20,'2022'!$B$22:$B$26)</c:f>
              <c:strCache>
                <c:ptCount val="6"/>
                <c:pt idx="0">
                  <c:v>BONAO</c:v>
                </c:pt>
                <c:pt idx="1">
                  <c:v>MAIMON</c:v>
                </c:pt>
                <c:pt idx="2">
                  <c:v>SONADOR</c:v>
                </c:pt>
                <c:pt idx="3">
                  <c:v>JIMA</c:v>
                </c:pt>
                <c:pt idx="4">
                  <c:v>FULA</c:v>
                </c:pt>
                <c:pt idx="5">
                  <c:v>JUMA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'2022'!$S$20:$S$26</c15:sqref>
                  </c15:fullRef>
                </c:ext>
              </c:extLst>
              <c:f>('2022'!$S$20,'2022'!$S$22:$S$26)</c:f>
              <c:numCache>
                <c:formatCode>_("$"* #,##0.00_);_("$"* \(#,##0.00\);_("$"* "-"??_);_(@_)</c:formatCode>
                <c:ptCount val="6"/>
                <c:pt idx="0">
                  <c:v>1881938.9600000002</c:v>
                </c:pt>
                <c:pt idx="1">
                  <c:v>21798</c:v>
                </c:pt>
                <c:pt idx="2">
                  <c:v>4358</c:v>
                </c:pt>
                <c:pt idx="3">
                  <c:v>26122</c:v>
                </c:pt>
                <c:pt idx="4">
                  <c:v>45372</c:v>
                </c:pt>
                <c:pt idx="5">
                  <c:v>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1-452A-9DD8-598E76EA46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3408992"/>
        <c:axId val="89858992"/>
        <c:axId val="0"/>
      </c:bar3DChart>
      <c:catAx>
        <c:axId val="1034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89858992"/>
        <c:crosses val="autoZero"/>
        <c:auto val="1"/>
        <c:lblAlgn val="ctr"/>
        <c:lblOffset val="100"/>
        <c:noMultiLvlLbl val="0"/>
      </c:catAx>
      <c:valAx>
        <c:axId val="898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0340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 b="1"/>
              <a:t>2020</a:t>
            </a:r>
            <a:r>
              <a:rPr lang="es-US" b="1" baseline="0"/>
              <a:t> VS 2021</a:t>
            </a:r>
            <a:endParaRPr lang="es-US" b="1"/>
          </a:p>
        </c:rich>
      </c:tx>
      <c:layout>
        <c:manualLayout>
          <c:xMode val="edge"/>
          <c:yMode val="edge"/>
          <c:x val="0.4038400014187416"/>
          <c:y val="2.3426057892490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7.8748137901681212E-2"/>
          <c:y val="0.13309905225916968"/>
          <c:w val="0.89647708732354403"/>
          <c:h val="0.6753016181810803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'2020 VS 2021'!$C$10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VS 2021'!$B$11:$B$16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</c:strCache>
            </c:strRef>
          </c:cat>
          <c:val>
            <c:numRef>
              <c:f>'2020 VS 2021'!$C$11:$C$16</c:f>
              <c:numCache>
                <c:formatCode>_("$"* #,##0.00_);_("$"* \(#,##0.00\);_("$"* "-"??_);_(@_)</c:formatCode>
                <c:ptCount val="6"/>
                <c:pt idx="0">
                  <c:v>13783799.109999999</c:v>
                </c:pt>
                <c:pt idx="1">
                  <c:v>1527146.71</c:v>
                </c:pt>
                <c:pt idx="2">
                  <c:v>364711</c:v>
                </c:pt>
                <c:pt idx="3">
                  <c:v>158784</c:v>
                </c:pt>
                <c:pt idx="4">
                  <c:v>130348</c:v>
                </c:pt>
                <c:pt idx="5">
                  <c:v>202623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5-4561-9C99-DDFA83E5CEA7}"/>
            </c:ext>
          </c:extLst>
        </c:ser>
        <c:ser>
          <c:idx val="1"/>
          <c:order val="1"/>
          <c:tx>
            <c:strRef>
              <c:f>'2020 VS 2021'!$D$10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VS 2021'!$B$11:$B$16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</c:strCache>
            </c:strRef>
          </c:cat>
          <c:val>
            <c:numRef>
              <c:f>'2020 VS 2021'!$D$11:$D$16</c:f>
              <c:numCache>
                <c:formatCode>_("$"* #,##0.00_);_("$"* \(#,##0.00\);_("$"* "-"??_);_(@_)</c:formatCode>
                <c:ptCount val="6"/>
                <c:pt idx="0">
                  <c:v>23205739.590000004</c:v>
                </c:pt>
                <c:pt idx="1">
                  <c:v>2527992.5499999998</c:v>
                </c:pt>
                <c:pt idx="2">
                  <c:v>550787</c:v>
                </c:pt>
                <c:pt idx="3">
                  <c:v>124553</c:v>
                </c:pt>
                <c:pt idx="4">
                  <c:v>242714</c:v>
                </c:pt>
                <c:pt idx="5">
                  <c:v>263312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5-4561-9C99-DDFA83E5CEA7}"/>
            </c:ext>
          </c:extLst>
        </c:ser>
        <c:ser>
          <c:idx val="2"/>
          <c:order val="2"/>
          <c:tx>
            <c:strRef>
              <c:f>'2020 VS 2021'!$E$10</c:f>
              <c:strCache>
                <c:ptCount val="1"/>
                <c:pt idx="0">
                  <c:v>CREC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 VS 2021'!$B$11:$B$16</c:f>
              <c:strCache>
                <c:ptCount val="6"/>
                <c:pt idx="0">
                  <c:v>BONAO</c:v>
                </c:pt>
                <c:pt idx="1">
                  <c:v>PIEDRA BLANCA</c:v>
                </c:pt>
                <c:pt idx="2">
                  <c:v>MAIMON</c:v>
                </c:pt>
                <c:pt idx="3">
                  <c:v>SONADOR</c:v>
                </c:pt>
                <c:pt idx="4">
                  <c:v>JIMA</c:v>
                </c:pt>
                <c:pt idx="5">
                  <c:v>FULA</c:v>
                </c:pt>
              </c:strCache>
            </c:strRef>
          </c:cat>
          <c:val>
            <c:numRef>
              <c:f>'2020 VS 2021'!$E$11:$E$16</c:f>
              <c:numCache>
                <c:formatCode>0%</c:formatCode>
                <c:ptCount val="6"/>
                <c:pt idx="0">
                  <c:v>1.6835517845848817</c:v>
                </c:pt>
                <c:pt idx="1">
                  <c:v>1.6553698039921783</c:v>
                </c:pt>
                <c:pt idx="2">
                  <c:v>1.5102012278214805</c:v>
                </c:pt>
                <c:pt idx="3">
                  <c:v>0.78441782547359939</c:v>
                </c:pt>
                <c:pt idx="4">
                  <c:v>1.8620462147482124</c:v>
                </c:pt>
                <c:pt idx="5">
                  <c:v>1.2995168366868519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5-4561-9C99-DDFA83E5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9102943"/>
        <c:axId val="1639103359"/>
      </c:barChart>
      <c:catAx>
        <c:axId val="163910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639103359"/>
        <c:crosses val="autoZero"/>
        <c:auto val="1"/>
        <c:lblAlgn val="ctr"/>
        <c:lblOffset val="100"/>
        <c:noMultiLvlLbl val="0"/>
      </c:catAx>
      <c:valAx>
        <c:axId val="163910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63910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946262</xdr:colOff>
      <xdr:row>3</xdr:row>
      <xdr:rowOff>161925</xdr:rowOff>
    </xdr:from>
    <xdr:to>
      <xdr:col>17</xdr:col>
      <xdr:colOff>381000</xdr:colOff>
      <xdr:row>11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1ADFE-E84D-42D9-B3E6-4943472577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7" t="-2" r="9613" b="21994"/>
        <a:stretch>
          <a:fillRect/>
        </a:stretch>
      </xdr:blipFill>
      <xdr:spPr bwMode="auto">
        <a:xfrm>
          <a:off x="5232512" y="733425"/>
          <a:ext cx="3101863" cy="1419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361950</xdr:colOff>
      <xdr:row>10</xdr:row>
      <xdr:rowOff>133350</xdr:rowOff>
    </xdr:from>
    <xdr:to>
      <xdr:col>18</xdr:col>
      <xdr:colOff>409575</xdr:colOff>
      <xdr:row>15</xdr:row>
      <xdr:rowOff>76200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87E2740-7516-41AD-A496-8664206027E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394"/>
        <a:stretch>
          <a:fillRect/>
        </a:stretch>
      </xdr:blipFill>
      <xdr:spPr bwMode="auto">
        <a:xfrm>
          <a:off x="2305050" y="2038350"/>
          <a:ext cx="7391400" cy="8953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733425</xdr:colOff>
      <xdr:row>27</xdr:row>
      <xdr:rowOff>171449</xdr:rowOff>
    </xdr:from>
    <xdr:to>
      <xdr:col>20</xdr:col>
      <xdr:colOff>28576</xdr:colOff>
      <xdr:row>48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6D420DE-3CEA-E09A-8CC4-845755192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18</xdr:row>
      <xdr:rowOff>23812</xdr:rowOff>
    </xdr:from>
    <xdr:to>
      <xdr:col>6</xdr:col>
      <xdr:colOff>9525</xdr:colOff>
      <xdr:row>35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E1BA25-8368-4313-9FB6-BDBBC2FEF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161926</xdr:rowOff>
    </xdr:from>
    <xdr:to>
      <xdr:col>2</xdr:col>
      <xdr:colOff>19050</xdr:colOff>
      <xdr:row>6</xdr:row>
      <xdr:rowOff>123826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915E56-BD69-4C64-B240-244CC1A3290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7" t="-2" r="9613" b="21994"/>
        <a:stretch>
          <a:fillRect/>
        </a:stretch>
      </xdr:blipFill>
      <xdr:spPr bwMode="auto">
        <a:xfrm>
          <a:off x="0" y="161926"/>
          <a:ext cx="1838325" cy="11049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762000</xdr:colOff>
      <xdr:row>2</xdr:row>
      <xdr:rowOff>114300</xdr:rowOff>
    </xdr:from>
    <xdr:to>
      <xdr:col>5</xdr:col>
      <xdr:colOff>266700</xdr:colOff>
      <xdr:row>6</xdr:row>
      <xdr:rowOff>123825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B1702799-F851-4B47-BF57-4A1F2ABA8C5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394"/>
        <a:stretch>
          <a:fillRect/>
        </a:stretch>
      </xdr:blipFill>
      <xdr:spPr bwMode="auto">
        <a:xfrm>
          <a:off x="1524000" y="495300"/>
          <a:ext cx="4191000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E4FA-5C5E-4B7F-961F-222AE82524B3}">
  <sheetPr>
    <pageSetUpPr fitToPage="1"/>
  </sheetPr>
  <dimension ref="B13:Y31"/>
  <sheetViews>
    <sheetView tabSelected="1" workbookViewId="0">
      <selection activeCell="T12" sqref="T12"/>
    </sheetView>
  </sheetViews>
  <sheetFormatPr baseColWidth="10" defaultRowHeight="15" x14ac:dyDescent="0.25"/>
  <cols>
    <col min="2" max="3" width="17.7109375" customWidth="1"/>
    <col min="4" max="4" width="17.42578125" customWidth="1"/>
    <col min="5" max="5" width="18.85546875" customWidth="1"/>
    <col min="6" max="6" width="16.140625" customWidth="1"/>
    <col min="7" max="7" width="0.28515625" hidden="1" customWidth="1"/>
    <col min="8" max="8" width="17.5703125" hidden="1" customWidth="1"/>
    <col min="9" max="9" width="16.42578125" hidden="1" customWidth="1"/>
    <col min="10" max="10" width="17.42578125" hidden="1" customWidth="1"/>
    <col min="11" max="11" width="15.42578125" hidden="1" customWidth="1"/>
    <col min="12" max="12" width="0.42578125" hidden="1" customWidth="1"/>
    <col min="13" max="13" width="0.140625" hidden="1" customWidth="1"/>
    <col min="14" max="16" width="20" hidden="1" customWidth="1"/>
    <col min="17" max="19" width="20" customWidth="1"/>
    <col min="20" max="20" width="19.5703125" customWidth="1"/>
    <col min="21" max="21" width="15.140625" bestFit="1" customWidth="1"/>
    <col min="22" max="22" width="14.140625" bestFit="1" customWidth="1"/>
    <col min="24" max="24" width="14.140625" bestFit="1" customWidth="1"/>
    <col min="25" max="25" width="15.28515625" customWidth="1"/>
  </cols>
  <sheetData>
    <row r="13" spans="15:15" x14ac:dyDescent="0.25">
      <c r="O13" s="23"/>
    </row>
    <row r="17" spans="2:25" ht="18.75" x14ac:dyDescent="0.3">
      <c r="C17" s="45" t="s">
        <v>23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2:25" ht="15.75" thickBot="1" x14ac:dyDescent="0.3"/>
    <row r="19" spans="2:25" ht="23.25" customHeight="1" thickBot="1" x14ac:dyDescent="0.3">
      <c r="B19" s="25" t="s">
        <v>6</v>
      </c>
      <c r="C19" s="7" t="s">
        <v>18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14</v>
      </c>
      <c r="K19" s="4" t="s">
        <v>15</v>
      </c>
      <c r="L19" s="4" t="s">
        <v>16</v>
      </c>
      <c r="M19" s="5" t="s">
        <v>17</v>
      </c>
      <c r="N19" s="5" t="s">
        <v>16</v>
      </c>
      <c r="O19" s="5" t="s">
        <v>17</v>
      </c>
      <c r="P19" s="5" t="s">
        <v>19</v>
      </c>
      <c r="Q19" s="29" t="s">
        <v>10</v>
      </c>
      <c r="R19" s="39" t="s">
        <v>11</v>
      </c>
      <c r="S19" s="39" t="s">
        <v>12</v>
      </c>
      <c r="T19" s="32" t="s">
        <v>13</v>
      </c>
    </row>
    <row r="20" spans="2:25" ht="23.25" customHeight="1" x14ac:dyDescent="0.25">
      <c r="B20" s="26" t="s">
        <v>0</v>
      </c>
      <c r="C20" s="20">
        <f>446724.33+479162.47+319899.14+382871.24+84949.98</f>
        <v>1713607.16</v>
      </c>
      <c r="D20" s="2">
        <f>337485.43+420850.56+401894.57+9+493669.78+374425.81</f>
        <v>2028335.1500000001</v>
      </c>
      <c r="E20" s="2">
        <f>546392.54+573615.4+713407.85+630244.13+461398.48</f>
        <v>2925058.4</v>
      </c>
      <c r="F20" s="2">
        <f>747370.41+315955.82+592076.34+672857.4+50649</f>
        <v>2378908.9699999997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f>438602.52+538944.33+433649.25+452410.87+251173.07</f>
        <v>2114780.04</v>
      </c>
      <c r="R20" s="40">
        <f>191431.92+607868.34+392512+409589.82+780169.18</f>
        <v>2381571.2600000002</v>
      </c>
      <c r="S20" s="40">
        <f>102558+472005.82+397881.5+386680.4+522813.24</f>
        <v>1881938.9600000002</v>
      </c>
      <c r="T20" s="33">
        <f>SUM(C20:S20)</f>
        <v>15424199.939999999</v>
      </c>
      <c r="U20" s="36"/>
      <c r="X20" s="23"/>
      <c r="Y20" s="24"/>
    </row>
    <row r="21" spans="2:25" ht="23.25" customHeight="1" x14ac:dyDescent="0.25">
      <c r="B21" s="27" t="s">
        <v>1</v>
      </c>
      <c r="C21" s="21">
        <f>56086+38788+35972+75138+12828</f>
        <v>218812</v>
      </c>
      <c r="D21" s="1">
        <f>35490+26336+25110+32648+34309</f>
        <v>153893</v>
      </c>
      <c r="E21" s="1">
        <f>43627+24778+24364+22686+29126</f>
        <v>144581</v>
      </c>
      <c r="F21" s="1">
        <f>8780+72952+13470+39718+35814</f>
        <v>170734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>36473+36396+24068+67746+23439</f>
        <v>188122</v>
      </c>
      <c r="R21" s="41">
        <f>36275+52707+14504+74623+49116</f>
        <v>227225</v>
      </c>
      <c r="S21" s="41">
        <f>10678+49068+28633+34158+42332</f>
        <v>164869</v>
      </c>
      <c r="T21" s="34">
        <f>SUM(C21:S21)</f>
        <v>1268236</v>
      </c>
      <c r="U21" s="36"/>
      <c r="X21" s="23"/>
      <c r="Y21" s="24"/>
    </row>
    <row r="22" spans="2:25" ht="23.25" customHeight="1" x14ac:dyDescent="0.25">
      <c r="B22" s="27" t="s">
        <v>2</v>
      </c>
      <c r="C22" s="21">
        <f>5708+2106+3812+5296+1328</f>
        <v>18250</v>
      </c>
      <c r="D22" s="1">
        <f>9704+4280+2126+12964+1590</f>
        <v>30664</v>
      </c>
      <c r="E22" s="1">
        <v>29036</v>
      </c>
      <c r="F22" s="1">
        <f>10684+8758+1000+11692+5424</f>
        <v>37558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>5960+5164+4212+6204+1200</f>
        <v>22740</v>
      </c>
      <c r="R22" s="41">
        <f>2904+6874+2844+4546+4974</f>
        <v>22142</v>
      </c>
      <c r="S22" s="41">
        <f>806+5138+7658+4968+3228</f>
        <v>21798</v>
      </c>
      <c r="T22" s="34">
        <f t="shared" ref="T22:T25" si="0">SUM(C22:S22)</f>
        <v>182188</v>
      </c>
      <c r="U22" s="36"/>
      <c r="X22" s="23"/>
      <c r="Y22" s="24"/>
    </row>
    <row r="23" spans="2:25" ht="23.25" customHeight="1" x14ac:dyDescent="0.25">
      <c r="B23" s="27" t="s">
        <v>3</v>
      </c>
      <c r="C23" s="21">
        <v>5036</v>
      </c>
      <c r="D23" s="1">
        <f>2884+15138</f>
        <v>18022</v>
      </c>
      <c r="E23" s="1">
        <v>5168</v>
      </c>
      <c r="F23" s="1">
        <f>6680+17468</f>
        <v>24148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8368</v>
      </c>
      <c r="R23" s="41">
        <v>20504</v>
      </c>
      <c r="S23" s="41">
        <v>4358</v>
      </c>
      <c r="T23" s="34">
        <f t="shared" si="0"/>
        <v>85604</v>
      </c>
      <c r="U23" s="36"/>
      <c r="X23" s="23"/>
      <c r="Y23" s="24"/>
    </row>
    <row r="24" spans="2:25" ht="23.25" customHeight="1" x14ac:dyDescent="0.25">
      <c r="B24" s="27" t="s">
        <v>4</v>
      </c>
      <c r="C24" s="21">
        <f>31084+10850+1016+9790</f>
        <v>52740</v>
      </c>
      <c r="D24" s="1">
        <f>9308+6246+4500+1728</f>
        <v>21782</v>
      </c>
      <c r="E24" s="1">
        <v>16194</v>
      </c>
      <c r="F24" s="1">
        <f>8150+20156+540+6364</f>
        <v>35210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f>3960+18480+2300+4448</f>
        <v>29188</v>
      </c>
      <c r="R24" s="41">
        <f>1980+3000+7450+9960</f>
        <v>22390</v>
      </c>
      <c r="S24" s="41">
        <f>10336+7796+2740+3100+2150</f>
        <v>26122</v>
      </c>
      <c r="T24" s="34">
        <f t="shared" si="0"/>
        <v>203626</v>
      </c>
      <c r="U24" s="36"/>
      <c r="X24" s="23"/>
      <c r="Y24" s="24"/>
    </row>
    <row r="25" spans="2:25" ht="23.25" customHeight="1" x14ac:dyDescent="0.25">
      <c r="B25" s="27" t="s">
        <v>5</v>
      </c>
      <c r="C25" s="21">
        <f>10614+3150+12296+9650</f>
        <v>35710</v>
      </c>
      <c r="D25" s="1">
        <f>3146+14600+12050+2100</f>
        <v>31896</v>
      </c>
      <c r="E25" s="1">
        <v>88430</v>
      </c>
      <c r="F25" s="1">
        <f>4140+5160+6970+3100</f>
        <v>19370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>1450+11720+24819+19707.05</f>
        <v>57696.05</v>
      </c>
      <c r="R25" s="41">
        <f>2328+450+8030+27690</f>
        <v>38498</v>
      </c>
      <c r="S25" s="41">
        <f>7500+900+2862+15720+18390</f>
        <v>45372</v>
      </c>
      <c r="T25" s="34">
        <f t="shared" si="0"/>
        <v>316972.05</v>
      </c>
      <c r="U25" s="36"/>
      <c r="X25" s="23"/>
      <c r="Y25" s="24"/>
    </row>
    <row r="26" spans="2:25" ht="23.25" customHeight="1" thickBot="1" x14ac:dyDescent="0.3">
      <c r="B26" s="28" t="s">
        <v>21</v>
      </c>
      <c r="C26" s="22">
        <f>1200+1600+1200+2400</f>
        <v>6400</v>
      </c>
      <c r="D26" s="3">
        <f>3300+900</f>
        <v>4200</v>
      </c>
      <c r="E26" s="3">
        <v>9080</v>
      </c>
      <c r="F26" s="3">
        <f>2580+400+1800</f>
        <v>4780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>
        <f>740+740+2500</f>
        <v>3980</v>
      </c>
      <c r="R26" s="42">
        <f>2580+1500</f>
        <v>4080</v>
      </c>
      <c r="S26" s="42">
        <f>1940+1500</f>
        <v>3440</v>
      </c>
      <c r="T26" s="35">
        <f>SUM(C26:S26)</f>
        <v>35960</v>
      </c>
      <c r="U26" s="36"/>
      <c r="Y26" s="24"/>
    </row>
    <row r="27" spans="2:25" ht="23.25" customHeight="1" thickBot="1" x14ac:dyDescent="0.3">
      <c r="B27" s="44" t="s">
        <v>13</v>
      </c>
      <c r="C27" s="30">
        <f>SUM(C20:C26)</f>
        <v>2050555.16</v>
      </c>
      <c r="D27" s="30">
        <f>SUM(D20:D26)</f>
        <v>2288792.1500000004</v>
      </c>
      <c r="E27" s="30">
        <f>SUM(E20:E26)</f>
        <v>3217547.4</v>
      </c>
      <c r="F27" s="30">
        <f>SUM(F20:F26)</f>
        <v>2670708.9699999997</v>
      </c>
      <c r="G27" s="30">
        <f t="shared" ref="G27:P27" si="1">SUM(G20:G26)</f>
        <v>0</v>
      </c>
      <c r="H27" s="30">
        <f t="shared" si="1"/>
        <v>0</v>
      </c>
      <c r="I27" s="30">
        <f t="shared" si="1"/>
        <v>0</v>
      </c>
      <c r="J27" s="30">
        <f t="shared" si="1"/>
        <v>0</v>
      </c>
      <c r="K27" s="30">
        <f t="shared" si="1"/>
        <v>0</v>
      </c>
      <c r="L27" s="30">
        <f t="shared" si="1"/>
        <v>0</v>
      </c>
      <c r="M27" s="30">
        <f t="shared" si="1"/>
        <v>0</v>
      </c>
      <c r="N27" s="30">
        <f t="shared" si="1"/>
        <v>0</v>
      </c>
      <c r="O27" s="30">
        <f t="shared" si="1"/>
        <v>0</v>
      </c>
      <c r="P27" s="31">
        <f t="shared" si="1"/>
        <v>0</v>
      </c>
      <c r="Q27" s="38">
        <f>SUM(Q20:Q26)</f>
        <v>2424874.09</v>
      </c>
      <c r="R27" s="38">
        <f>SUM(R20:R26)</f>
        <v>2716410.2600000002</v>
      </c>
      <c r="S27" s="38">
        <f>SUM(S20:S26)</f>
        <v>2147897.96</v>
      </c>
      <c r="T27" s="43">
        <f>SUM(C27:S27)</f>
        <v>17516785.989999998</v>
      </c>
      <c r="U27" s="37"/>
    </row>
    <row r="29" spans="2:25" x14ac:dyDescent="0.25">
      <c r="V29" s="23"/>
    </row>
    <row r="31" spans="2:25" x14ac:dyDescent="0.25">
      <c r="V31" s="24"/>
    </row>
  </sheetData>
  <mergeCells count="1">
    <mergeCell ref="C17:S17"/>
  </mergeCells>
  <pageMargins left="0.25" right="0.25" top="0.75" bottom="0.75" header="0.3" footer="0.3"/>
  <pageSetup paperSize="5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86B1-724B-4C24-89DF-F6765368F679}">
  <sheetPr>
    <pageSetUpPr fitToPage="1"/>
  </sheetPr>
  <dimension ref="B9:H17"/>
  <sheetViews>
    <sheetView workbookViewId="0">
      <selection activeCell="L10" sqref="L10"/>
    </sheetView>
  </sheetViews>
  <sheetFormatPr baseColWidth="10" defaultRowHeight="15" x14ac:dyDescent="0.25"/>
  <cols>
    <col min="2" max="2" width="15.85546875" customWidth="1"/>
    <col min="3" max="3" width="22.28515625" customWidth="1"/>
    <col min="4" max="4" width="20.85546875" customWidth="1"/>
    <col min="5" max="5" width="11.28515625" customWidth="1"/>
  </cols>
  <sheetData>
    <row r="9" spans="2:8" ht="19.5" thickBot="1" x14ac:dyDescent="0.35">
      <c r="B9" s="16" t="s">
        <v>22</v>
      </c>
      <c r="C9" s="16"/>
      <c r="D9" s="16"/>
      <c r="E9" s="16"/>
      <c r="F9" s="16"/>
      <c r="G9" s="16"/>
      <c r="H9" s="16"/>
    </row>
    <row r="10" spans="2:8" ht="18.75" customHeight="1" thickBot="1" x14ac:dyDescent="0.3">
      <c r="B10" s="17" t="s">
        <v>6</v>
      </c>
      <c r="C10" s="18">
        <v>2020</v>
      </c>
      <c r="D10" s="18">
        <v>2021</v>
      </c>
      <c r="E10" s="19" t="s">
        <v>20</v>
      </c>
    </row>
    <row r="11" spans="2:8" x14ac:dyDescent="0.25">
      <c r="B11" s="12" t="s">
        <v>0</v>
      </c>
      <c r="C11" s="2">
        <v>13783799.109999999</v>
      </c>
      <c r="D11" s="2">
        <v>23205739.590000004</v>
      </c>
      <c r="E11" s="13">
        <f>+D11/C11</f>
        <v>1.6835517845848817</v>
      </c>
    </row>
    <row r="12" spans="2:8" x14ac:dyDescent="0.25">
      <c r="B12" s="8" t="s">
        <v>1</v>
      </c>
      <c r="C12" s="1">
        <v>1527146.71</v>
      </c>
      <c r="D12" s="1">
        <v>2527992.5499999998</v>
      </c>
      <c r="E12" s="9">
        <f t="shared" ref="E12:E16" si="0">+D12/C12</f>
        <v>1.6553698039921783</v>
      </c>
    </row>
    <row r="13" spans="2:8" x14ac:dyDescent="0.25">
      <c r="B13" s="8" t="s">
        <v>2</v>
      </c>
      <c r="C13" s="1">
        <v>364711</v>
      </c>
      <c r="D13" s="1">
        <v>550787</v>
      </c>
      <c r="E13" s="9">
        <f t="shared" si="0"/>
        <v>1.5102012278214805</v>
      </c>
    </row>
    <row r="14" spans="2:8" x14ac:dyDescent="0.25">
      <c r="B14" s="8" t="s">
        <v>3</v>
      </c>
      <c r="C14" s="1">
        <v>158784</v>
      </c>
      <c r="D14" s="1">
        <v>124553</v>
      </c>
      <c r="E14" s="9">
        <f t="shared" si="0"/>
        <v>0.78441782547359939</v>
      </c>
    </row>
    <row r="15" spans="2:8" x14ac:dyDescent="0.25">
      <c r="B15" s="8" t="s">
        <v>4</v>
      </c>
      <c r="C15" s="1">
        <v>130348</v>
      </c>
      <c r="D15" s="1">
        <v>242714</v>
      </c>
      <c r="E15" s="9">
        <f t="shared" si="0"/>
        <v>1.8620462147482124</v>
      </c>
    </row>
    <row r="16" spans="2:8" ht="15.75" thickBot="1" x14ac:dyDescent="0.3">
      <c r="B16" s="14" t="s">
        <v>5</v>
      </c>
      <c r="C16" s="3">
        <v>202623</v>
      </c>
      <c r="D16" s="3">
        <v>263312</v>
      </c>
      <c r="E16" s="10">
        <f t="shared" si="0"/>
        <v>1.2995168366868519</v>
      </c>
    </row>
    <row r="17" spans="2:5" ht="18" customHeight="1" thickBot="1" x14ac:dyDescent="0.3">
      <c r="B17" s="6" t="s">
        <v>13</v>
      </c>
      <c r="C17" s="11">
        <f>SUM(C11:C16)</f>
        <v>16167411.82</v>
      </c>
      <c r="D17" s="11">
        <f>SUM(D11:D16)</f>
        <v>26915098.140000004</v>
      </c>
      <c r="E17" s="15">
        <f>+D17/C17</f>
        <v>1.6647746986134484</v>
      </c>
    </row>
  </sheetData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2020 VS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COMERCIAL</dc:creator>
  <cp:lastModifiedBy>DIRECCION COMERCIAL</cp:lastModifiedBy>
  <cp:lastPrinted>2022-06-10T14:05:37Z</cp:lastPrinted>
  <dcterms:created xsi:type="dcterms:W3CDTF">2020-12-14T15:55:18Z</dcterms:created>
  <dcterms:modified xsi:type="dcterms:W3CDTF">2022-08-09T16:49:27Z</dcterms:modified>
</cp:coreProperties>
</file>